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n Jorge\Base con formato\12 Industria y Energía\excel\"/>
    </mc:Choice>
  </mc:AlternateContent>
  <bookViews>
    <workbookView xWindow="0" yWindow="0" windowWidth="28800" windowHeight="11700"/>
  </bookViews>
  <sheets>
    <sheet name="Cuadro 12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" i="1" l="1"/>
  <c r="F77" i="1"/>
  <c r="B77" i="1"/>
  <c r="K76" i="1"/>
  <c r="F76" i="1"/>
  <c r="B76" i="1"/>
  <c r="K75" i="1"/>
  <c r="F75" i="1"/>
  <c r="B75" i="1"/>
  <c r="K74" i="1"/>
  <c r="F74" i="1"/>
  <c r="B74" i="1"/>
  <c r="K73" i="1"/>
  <c r="F73" i="1"/>
  <c r="B73" i="1"/>
  <c r="K72" i="1"/>
  <c r="F72" i="1"/>
  <c r="B72" i="1"/>
  <c r="K71" i="1"/>
  <c r="F71" i="1"/>
  <c r="B71" i="1"/>
  <c r="K70" i="1"/>
  <c r="F70" i="1"/>
  <c r="B70" i="1"/>
  <c r="K69" i="1"/>
  <c r="F69" i="1"/>
  <c r="B69" i="1"/>
  <c r="K68" i="1"/>
  <c r="F68" i="1"/>
  <c r="B68" i="1"/>
  <c r="K67" i="1"/>
  <c r="F67" i="1"/>
  <c r="B67" i="1"/>
  <c r="K66" i="1"/>
  <c r="F66" i="1"/>
  <c r="B66" i="1"/>
  <c r="K65" i="1"/>
  <c r="F65" i="1"/>
  <c r="B65" i="1"/>
  <c r="K64" i="1"/>
  <c r="F64" i="1"/>
  <c r="B64" i="1"/>
  <c r="K63" i="1"/>
  <c r="F63" i="1"/>
  <c r="B63" i="1"/>
  <c r="K62" i="1"/>
  <c r="F62" i="1"/>
  <c r="B62" i="1"/>
  <c r="K61" i="1"/>
  <c r="F61" i="1"/>
  <c r="B61" i="1"/>
  <c r="K60" i="1"/>
  <c r="F60" i="1"/>
  <c r="B60" i="1"/>
  <c r="K59" i="1"/>
  <c r="F59" i="1"/>
  <c r="B59" i="1"/>
  <c r="K58" i="1"/>
  <c r="F58" i="1"/>
  <c r="B58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<sst xmlns="http://schemas.openxmlformats.org/spreadsheetml/2006/main" count="39" uniqueCount="30">
  <si>
    <t>Cuadro 1213</t>
  </si>
  <si>
    <t>ENERGÍA ELECTRICA EMPLEADA EN INDUSTRIA 1946-2018</t>
  </si>
  <si>
    <t>Año</t>
  </si>
  <si>
    <t xml:space="preserve"> GWH consumidos por el sector industrial</t>
    <phoneticPr fontId="0" type="noConversion"/>
  </si>
  <si>
    <t>Industria menor</t>
    <phoneticPr fontId="0" type="noConversion"/>
  </si>
  <si>
    <t>Grandes industrias</t>
    <phoneticPr fontId="0" type="noConversion"/>
  </si>
  <si>
    <t>Alta tensión</t>
    <phoneticPr fontId="0" type="noConversion"/>
  </si>
  <si>
    <t>Valor en millones de ¢</t>
    <phoneticPr fontId="0" type="noConversion"/>
  </si>
  <si>
    <t>Precio promedio por KWH</t>
    <phoneticPr fontId="0" type="noConversion"/>
  </si>
  <si>
    <t>Número de clientes</t>
    <phoneticPr fontId="0" type="noConversion"/>
  </si>
  <si>
    <t>Consumo promedio por cliente industrial en miles KWH</t>
  </si>
  <si>
    <t>Consumo industrial como % del total</t>
    <phoneticPr fontId="0" type="noConversion"/>
  </si>
  <si>
    <t>Consumo  total de energía eléctrica GWH</t>
    <phoneticPr fontId="0" type="noConversion"/>
  </si>
  <si>
    <t>Producción total de energía eléctrica GWH</t>
    <phoneticPr fontId="0" type="noConversion"/>
  </si>
  <si>
    <t>n.a.</t>
    <phoneticPr fontId="0" type="noConversion"/>
  </si>
  <si>
    <t>Nota:</t>
    <phoneticPr fontId="0" type="noConversion"/>
  </si>
  <si>
    <t>Datos de valor de 1946 a 1962 son en colones de 1957.</t>
    <phoneticPr fontId="0" type="noConversion"/>
  </si>
  <si>
    <t>Factor de conversión 1 GWH = 3,6 Terajoules (TJ).</t>
    <phoneticPr fontId="0" type="noConversion"/>
  </si>
  <si>
    <t>Fuentes</t>
  </si>
  <si>
    <t>1946-1962, PDECR/UCR, No.6 Sector energía de la economía costarricense, Cuadros V-4 y V-11,  pp.52-53</t>
    <phoneticPr fontId="0" type="noConversion"/>
  </si>
  <si>
    <t>1962-1976, Memoria del I Seminario Nacional de energía (1978), p. 42.</t>
  </si>
  <si>
    <t>1990-1997, MIDEPLAN/SIDES (1998), pp. 460.</t>
    <phoneticPr fontId="0" type="noConversion"/>
  </si>
  <si>
    <t>1989-2006 Consumo industrial, MINAET, Memoria Estadística del Sector Energía, Caudro 4.5.3.</t>
  </si>
  <si>
    <t>1989-2006 Producción, MINAET, Memoria Estadística del Sector  Energía 2008, Cuadro 4.4.1.</t>
  </si>
  <si>
    <t>1991-2006, Estado de la Nación N°. 7 y N°. 14, p. 405.</t>
  </si>
  <si>
    <t>2002-2006, ARESEP, Sistema Eléctico Nacional, Abonados promedio, ventas en unidades físicas y monetarias… www.aresep.go.cr/docs/CONSUMO_ABONADO_PRECIO_PROMEDIO</t>
    <phoneticPr fontId="0" type="noConversion"/>
  </si>
  <si>
    <t>1989-1999 Ventas por sector industrial de MINAET, Memoria Estadística del Sector  Energía 2008, Cuadro 4.5.6.</t>
  </si>
  <si>
    <t>1989-1999 Promedio anual de abonados industriales, MINAET (2008), Cuadro 5.2.2d.</t>
  </si>
  <si>
    <t>1989-1999 Precio promedio de energía al sector industrial, MINAET (2008), Cuadro 4.6.9.e.</t>
  </si>
  <si>
    <t>2000-2018  Autoridad Reguladora de los Servicios Públicos (ARESEP), Estadísticas del Mercado Eléctrico Nacional disponibles en: https://aresep-my.sharepoint.com/:x:/g/personal/multimedia_aresep_go_cr/EQK57Omk7ftAu7AwxocSmeEB3SiQU2Vu0MWIJ65VCCs2hg?rtime=B-ryMZCw10g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</si>
</sst>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₡_-;\-* #,##0.00_₡_-;_-* &quot;-&quot;??_₡_-;_-@_-"/>
    <numFmt numFmtId="165" formatCode="_-* #,##0_₡_-;\-* #,##0_₡_-;_-* &quot;-&quot;??_₡_-;_-@_-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0" fontId="2" fillId="2" borderId="0" xfId="2" applyFont="1" applyFill="1" applyAlignment="1">
      <alignment horizontal="center"/>
    </xf>
    <xf numFmtId="0" fontId="3" fillId="2" borderId="0" xfId="2" applyFont="1" applyFill="1"/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2" borderId="0" xfId="2" applyFont="1" applyFill="1" applyBorder="1"/>
    <xf numFmtId="164" fontId="3" fillId="2" borderId="0" xfId="3" applyFont="1" applyFill="1" applyBorder="1"/>
    <xf numFmtId="165" fontId="3" fillId="2" borderId="0" xfId="3" applyNumberFormat="1" applyFont="1" applyFill="1" applyBorder="1"/>
    <xf numFmtId="164" fontId="3" fillId="2" borderId="0" xfId="3" applyFont="1" applyFill="1" applyBorder="1" applyAlignment="1">
      <alignment horizontal="right"/>
    </xf>
    <xf numFmtId="166" fontId="3" fillId="2" borderId="0" xfId="1" applyNumberFormat="1" applyFont="1" applyFill="1" applyBorder="1"/>
    <xf numFmtId="164" fontId="3" fillId="2" borderId="0" xfId="3" applyFont="1" applyFill="1" applyBorder="1" applyAlignment="1"/>
    <xf numFmtId="0" fontId="2" fillId="2" borderId="2" xfId="2" applyFont="1" applyFill="1" applyBorder="1" applyAlignment="1">
      <alignment horizontal="justify" vertical="center" wrapText="1"/>
    </xf>
    <xf numFmtId="0" fontId="1" fillId="2" borderId="2" xfId="2" applyFill="1" applyBorder="1" applyAlignment="1">
      <alignment horizontal="justify" vertical="center" wrapText="1"/>
    </xf>
    <xf numFmtId="0" fontId="3" fillId="2" borderId="0" xfId="2" applyFont="1" applyFill="1" applyAlignment="1">
      <alignment horizontal="justify" vertical="center" wrapText="1"/>
    </xf>
    <xf numFmtId="0" fontId="1" fillId="2" borderId="0" xfId="2" applyFill="1" applyAlignment="1">
      <alignment horizontal="justify" vertical="center" wrapText="1"/>
    </xf>
    <xf numFmtId="0" fontId="2" fillId="2" borderId="0" xfId="2" applyFont="1" applyFill="1" applyBorder="1" applyAlignment="1">
      <alignment horizontal="justify" vertical="center" wrapText="1"/>
    </xf>
    <xf numFmtId="0" fontId="1" fillId="2" borderId="0" xfId="2" applyFill="1" applyBorder="1" applyAlignment="1">
      <alignment horizontal="justify" vertical="center" wrapText="1"/>
    </xf>
  </cellXfs>
  <cellStyles count="4">
    <cellStyle name="Millares" xfId="1" builtinId="3"/>
    <cellStyle name="Millares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zoomScale="80" zoomScaleNormal="80" workbookViewId="0">
      <pane xSplit="1" ySplit="4" topLeftCell="B29" activePane="bottomRight" state="frozen"/>
      <selection pane="topRight" activeCell="B1" sqref="B1"/>
      <selection pane="bottomLeft" activeCell="A4" sqref="A4"/>
      <selection pane="bottomRight" sqref="A1:L92"/>
    </sheetView>
  </sheetViews>
  <sheetFormatPr baseColWidth="10" defaultRowHeight="12.75" x14ac:dyDescent="0.2"/>
  <cols>
    <col min="1" max="1" width="5.5703125" style="2" bestFit="1" customWidth="1"/>
    <col min="2" max="2" width="17.5703125" style="2" bestFit="1" customWidth="1"/>
    <col min="3" max="3" width="10.5703125" style="2" bestFit="1" customWidth="1"/>
    <col min="4" max="4" width="12.140625" style="2" customWidth="1"/>
    <col min="5" max="5" width="11.85546875" style="2" bestFit="1" customWidth="1"/>
    <col min="6" max="6" width="14.42578125" style="2" bestFit="1" customWidth="1"/>
    <col min="7" max="7" width="11" style="2" customWidth="1"/>
    <col min="8" max="8" width="11.5703125" style="2" bestFit="1" customWidth="1"/>
    <col min="9" max="9" width="23.85546875" style="2" customWidth="1"/>
    <col min="10" max="10" width="18.5703125" style="2" bestFit="1" customWidth="1"/>
    <col min="11" max="11" width="17.42578125" style="2" bestFit="1" customWidth="1"/>
    <col min="12" max="12" width="21.7109375" style="2" customWidth="1"/>
    <col min="13" max="16384" width="11.42578125" style="2"/>
  </cols>
  <sheetData>
    <row r="1" spans="1:1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7" customFormat="1" ht="51.75" customHeight="1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</row>
    <row r="5" spans="1:12" x14ac:dyDescent="0.2">
      <c r="A5" s="8">
        <v>1946</v>
      </c>
      <c r="B5" s="9">
        <v>9.16</v>
      </c>
      <c r="C5" s="9"/>
      <c r="D5" s="9"/>
      <c r="E5" s="9"/>
      <c r="F5" s="9">
        <v>1.008</v>
      </c>
      <c r="G5" s="9"/>
      <c r="H5" s="10">
        <v>650</v>
      </c>
      <c r="I5" s="9">
        <v>14.1</v>
      </c>
      <c r="J5" s="9">
        <v>9.6</v>
      </c>
      <c r="K5" s="9">
        <f>B5/J5*100</f>
        <v>95.416666666666671</v>
      </c>
      <c r="L5" s="8"/>
    </row>
    <row r="6" spans="1:12" x14ac:dyDescent="0.2">
      <c r="A6" s="8">
        <v>1947</v>
      </c>
      <c r="B6" s="9">
        <v>9.9190000000000005</v>
      </c>
      <c r="C6" s="9"/>
      <c r="D6" s="9"/>
      <c r="E6" s="9"/>
      <c r="F6" s="9">
        <v>1.089</v>
      </c>
      <c r="G6" s="9"/>
      <c r="H6" s="10">
        <v>686</v>
      </c>
      <c r="I6" s="9">
        <v>14.5</v>
      </c>
      <c r="J6" s="9">
        <v>9.5</v>
      </c>
      <c r="K6" s="9">
        <f t="shared" ref="K6:K21" si="0">B6/J6*100</f>
        <v>104.41052631578948</v>
      </c>
      <c r="L6" s="8"/>
    </row>
    <row r="7" spans="1:12" x14ac:dyDescent="0.2">
      <c r="A7" s="8">
        <v>1948</v>
      </c>
      <c r="B7" s="9">
        <v>10.170999999999999</v>
      </c>
      <c r="C7" s="9"/>
      <c r="D7" s="9"/>
      <c r="E7" s="9"/>
      <c r="F7" s="9">
        <v>1.119</v>
      </c>
      <c r="G7" s="9"/>
      <c r="H7" s="10">
        <v>701</v>
      </c>
      <c r="I7" s="9">
        <v>14.5</v>
      </c>
      <c r="J7" s="9">
        <v>9.6</v>
      </c>
      <c r="K7" s="9">
        <f t="shared" si="0"/>
        <v>105.94791666666667</v>
      </c>
      <c r="L7" s="8"/>
    </row>
    <row r="8" spans="1:12" x14ac:dyDescent="0.2">
      <c r="A8" s="8">
        <v>1949</v>
      </c>
      <c r="B8" s="9">
        <v>11.1</v>
      </c>
      <c r="C8" s="9"/>
      <c r="D8" s="9"/>
      <c r="E8" s="9"/>
      <c r="F8" s="9">
        <v>1.2150000000000001</v>
      </c>
      <c r="G8" s="9"/>
      <c r="H8" s="10">
        <v>736</v>
      </c>
      <c r="I8" s="9">
        <v>15</v>
      </c>
      <c r="J8" s="9">
        <v>9.6</v>
      </c>
      <c r="K8" s="9">
        <f t="shared" si="0"/>
        <v>115.625</v>
      </c>
      <c r="L8" s="8"/>
    </row>
    <row r="9" spans="1:12" x14ac:dyDescent="0.2">
      <c r="A9" s="8">
        <v>1950</v>
      </c>
      <c r="B9" s="9">
        <v>12.3</v>
      </c>
      <c r="C9" s="9"/>
      <c r="D9" s="9"/>
      <c r="E9" s="9"/>
      <c r="F9" s="9">
        <v>1.3480000000000001</v>
      </c>
      <c r="G9" s="9"/>
      <c r="H9" s="10">
        <v>815</v>
      </c>
      <c r="I9" s="9">
        <v>15</v>
      </c>
      <c r="J9" s="9">
        <v>8.9</v>
      </c>
      <c r="K9" s="9">
        <f t="shared" si="0"/>
        <v>138.20224719101125</v>
      </c>
      <c r="L9" s="8"/>
    </row>
    <row r="10" spans="1:12" x14ac:dyDescent="0.2">
      <c r="A10" s="8">
        <v>1951</v>
      </c>
      <c r="B10" s="9">
        <v>13.97</v>
      </c>
      <c r="C10" s="9"/>
      <c r="D10" s="9"/>
      <c r="E10" s="9"/>
      <c r="F10" s="9">
        <v>1.534</v>
      </c>
      <c r="G10" s="9"/>
      <c r="H10" s="10">
        <v>856</v>
      </c>
      <c r="I10" s="9">
        <v>16.3</v>
      </c>
      <c r="J10" s="9">
        <v>9.4</v>
      </c>
      <c r="K10" s="9">
        <f t="shared" si="0"/>
        <v>148.61702127659575</v>
      </c>
      <c r="L10" s="8"/>
    </row>
    <row r="11" spans="1:12" x14ac:dyDescent="0.2">
      <c r="A11" s="8">
        <v>1952</v>
      </c>
      <c r="B11" s="9">
        <v>15.8</v>
      </c>
      <c r="C11" s="9"/>
      <c r="D11" s="9"/>
      <c r="E11" s="9"/>
      <c r="F11" s="9">
        <v>1.7290000000000001</v>
      </c>
      <c r="G11" s="9"/>
      <c r="H11" s="10">
        <v>889</v>
      </c>
      <c r="I11" s="9">
        <v>17.8</v>
      </c>
      <c r="J11" s="9">
        <v>9.8000000000000007</v>
      </c>
      <c r="K11" s="9">
        <f t="shared" si="0"/>
        <v>161.22448979591837</v>
      </c>
      <c r="L11" s="8"/>
    </row>
    <row r="12" spans="1:12" x14ac:dyDescent="0.2">
      <c r="A12" s="8">
        <v>1953</v>
      </c>
      <c r="B12" s="9">
        <v>18.100000000000001</v>
      </c>
      <c r="C12" s="9"/>
      <c r="D12" s="9"/>
      <c r="E12" s="9"/>
      <c r="F12" s="9">
        <v>1.952</v>
      </c>
      <c r="G12" s="9"/>
      <c r="H12" s="10">
        <v>1143</v>
      </c>
      <c r="I12" s="9">
        <v>15.8</v>
      </c>
      <c r="J12" s="9">
        <v>9.4</v>
      </c>
      <c r="K12" s="9">
        <f t="shared" si="0"/>
        <v>192.55319148936172</v>
      </c>
      <c r="L12" s="8"/>
    </row>
    <row r="13" spans="1:12" x14ac:dyDescent="0.2">
      <c r="A13" s="8">
        <v>1954</v>
      </c>
      <c r="B13" s="9">
        <v>18.600000000000001</v>
      </c>
      <c r="C13" s="9"/>
      <c r="D13" s="9"/>
      <c r="E13" s="9"/>
      <c r="F13" s="9">
        <v>2.008</v>
      </c>
      <c r="G13" s="9"/>
      <c r="H13" s="10">
        <v>1163</v>
      </c>
      <c r="I13" s="9">
        <v>16</v>
      </c>
      <c r="J13" s="9">
        <v>9</v>
      </c>
      <c r="K13" s="9">
        <f t="shared" si="0"/>
        <v>206.66666666666669</v>
      </c>
      <c r="L13" s="8"/>
    </row>
    <row r="14" spans="1:12" x14ac:dyDescent="0.2">
      <c r="A14" s="8">
        <v>1955</v>
      </c>
      <c r="B14" s="9">
        <v>20.68</v>
      </c>
      <c r="C14" s="9"/>
      <c r="D14" s="9"/>
      <c r="E14" s="9"/>
      <c r="F14" s="9">
        <v>2.2160000000000002</v>
      </c>
      <c r="G14" s="9"/>
      <c r="H14" s="10">
        <v>1224</v>
      </c>
      <c r="I14" s="9">
        <v>16.899999999999999</v>
      </c>
      <c r="J14" s="9">
        <v>8.5</v>
      </c>
      <c r="K14" s="9">
        <f t="shared" si="0"/>
        <v>243.29411764705884</v>
      </c>
      <c r="L14" s="8"/>
    </row>
    <row r="15" spans="1:12" x14ac:dyDescent="0.2">
      <c r="A15" s="8">
        <v>1956</v>
      </c>
      <c r="B15" s="9">
        <v>22.78</v>
      </c>
      <c r="C15" s="9"/>
      <c r="D15" s="9"/>
      <c r="E15" s="9"/>
      <c r="F15" s="9">
        <v>2.4369999999999998</v>
      </c>
      <c r="G15" s="9"/>
      <c r="H15" s="10">
        <v>1919</v>
      </c>
      <c r="I15" s="9">
        <v>11.9</v>
      </c>
      <c r="J15" s="9">
        <v>8.3000000000000007</v>
      </c>
      <c r="K15" s="9">
        <f t="shared" si="0"/>
        <v>274.45783132530124</v>
      </c>
      <c r="L15" s="8"/>
    </row>
    <row r="16" spans="1:12" x14ac:dyDescent="0.2">
      <c r="A16" s="8">
        <v>1957</v>
      </c>
      <c r="B16" s="9">
        <v>25.6</v>
      </c>
      <c r="C16" s="9"/>
      <c r="D16" s="9"/>
      <c r="E16" s="9"/>
      <c r="F16" s="9">
        <v>2.6709999999999998</v>
      </c>
      <c r="G16" s="9"/>
      <c r="H16" s="10">
        <v>2054</v>
      </c>
      <c r="I16" s="9">
        <v>12.2</v>
      </c>
      <c r="J16" s="9">
        <v>8.4</v>
      </c>
      <c r="K16" s="9">
        <f t="shared" si="0"/>
        <v>304.76190476190476</v>
      </c>
      <c r="L16" s="8"/>
    </row>
    <row r="17" spans="1:12" x14ac:dyDescent="0.2">
      <c r="A17" s="8">
        <v>1958</v>
      </c>
      <c r="B17" s="9">
        <v>26.03</v>
      </c>
      <c r="C17" s="9"/>
      <c r="D17" s="9"/>
      <c r="E17" s="9"/>
      <c r="F17" s="9">
        <v>2.7480000000000002</v>
      </c>
      <c r="G17" s="9"/>
      <c r="H17" s="10">
        <v>1343</v>
      </c>
      <c r="I17" s="9">
        <v>19.399999999999999</v>
      </c>
      <c r="J17" s="9">
        <v>8.1</v>
      </c>
      <c r="K17" s="9">
        <f t="shared" si="0"/>
        <v>321.35802469135808</v>
      </c>
      <c r="L17" s="8"/>
    </row>
    <row r="18" spans="1:12" x14ac:dyDescent="0.2">
      <c r="A18" s="8">
        <v>1959</v>
      </c>
      <c r="B18" s="9">
        <v>25.56</v>
      </c>
      <c r="C18" s="9"/>
      <c r="D18" s="9"/>
      <c r="E18" s="9"/>
      <c r="F18" s="9">
        <v>2.746</v>
      </c>
      <c r="G18" s="9"/>
      <c r="H18" s="10">
        <v>1399</v>
      </c>
      <c r="I18" s="9">
        <v>18.3</v>
      </c>
      <c r="J18" s="9">
        <v>7.9</v>
      </c>
      <c r="K18" s="9">
        <f t="shared" si="0"/>
        <v>323.54430379746827</v>
      </c>
      <c r="L18" s="8"/>
    </row>
    <row r="19" spans="1:12" x14ac:dyDescent="0.2">
      <c r="A19" s="8">
        <v>1960</v>
      </c>
      <c r="B19" s="9">
        <v>33.97</v>
      </c>
      <c r="C19" s="9"/>
      <c r="D19" s="9"/>
      <c r="E19" s="9"/>
      <c r="F19" s="9">
        <v>3.593</v>
      </c>
      <c r="G19" s="9"/>
      <c r="H19" s="10">
        <v>1582</v>
      </c>
      <c r="I19" s="9">
        <v>21.5</v>
      </c>
      <c r="J19" s="9">
        <v>9.1999999999999993</v>
      </c>
      <c r="K19" s="9">
        <f t="shared" si="0"/>
        <v>369.23913043478262</v>
      </c>
      <c r="L19" s="8"/>
    </row>
    <row r="20" spans="1:12" x14ac:dyDescent="0.2">
      <c r="A20" s="8">
        <v>1961</v>
      </c>
      <c r="B20" s="9">
        <v>38.11</v>
      </c>
      <c r="C20" s="9"/>
      <c r="D20" s="9"/>
      <c r="E20" s="9"/>
      <c r="F20" s="9">
        <v>4.0250000000000004</v>
      </c>
      <c r="G20" s="9"/>
      <c r="H20" s="10">
        <v>1773</v>
      </c>
      <c r="I20" s="9">
        <v>21.5</v>
      </c>
      <c r="J20" s="9">
        <v>9.8000000000000007</v>
      </c>
      <c r="K20" s="9">
        <f t="shared" si="0"/>
        <v>388.87755102040813</v>
      </c>
      <c r="L20" s="8"/>
    </row>
    <row r="21" spans="1:12" x14ac:dyDescent="0.2">
      <c r="A21" s="8">
        <v>1962</v>
      </c>
      <c r="B21" s="9">
        <v>43.44</v>
      </c>
      <c r="C21" s="9"/>
      <c r="D21" s="9"/>
      <c r="E21" s="9"/>
      <c r="F21" s="9">
        <v>4.5739999999999998</v>
      </c>
      <c r="G21" s="9"/>
      <c r="H21" s="10">
        <v>1895</v>
      </c>
      <c r="I21" s="9">
        <v>22.9</v>
      </c>
      <c r="J21" s="9">
        <v>10.5</v>
      </c>
      <c r="K21" s="9">
        <f t="shared" si="0"/>
        <v>413.71428571428572</v>
      </c>
      <c r="L21" s="8"/>
    </row>
    <row r="22" spans="1:12" x14ac:dyDescent="0.2">
      <c r="A22" s="8">
        <v>1963</v>
      </c>
      <c r="B22" s="9">
        <v>60</v>
      </c>
      <c r="C22" s="9"/>
      <c r="D22" s="9"/>
      <c r="E22" s="9"/>
      <c r="F22" s="9"/>
      <c r="G22" s="9"/>
      <c r="H22" s="9"/>
      <c r="I22" s="9"/>
      <c r="J22" s="9"/>
      <c r="K22" s="9"/>
      <c r="L22" s="8"/>
    </row>
    <row r="23" spans="1:12" x14ac:dyDescent="0.2">
      <c r="A23" s="8">
        <v>1964</v>
      </c>
      <c r="B23" s="9">
        <v>97</v>
      </c>
      <c r="C23" s="9"/>
      <c r="D23" s="9"/>
      <c r="E23" s="9"/>
      <c r="F23" s="9"/>
      <c r="G23" s="9"/>
      <c r="H23" s="9"/>
      <c r="I23" s="9"/>
      <c r="J23" s="9"/>
      <c r="K23" s="9"/>
      <c r="L23" s="8"/>
    </row>
    <row r="24" spans="1:12" x14ac:dyDescent="0.2">
      <c r="A24" s="8">
        <v>1965</v>
      </c>
      <c r="B24" s="9">
        <v>106</v>
      </c>
      <c r="C24" s="9"/>
      <c r="D24" s="9"/>
      <c r="E24" s="9"/>
      <c r="F24" s="9"/>
      <c r="G24" s="9"/>
      <c r="H24" s="9"/>
      <c r="I24" s="9"/>
      <c r="J24" s="9"/>
      <c r="K24" s="9"/>
      <c r="L24" s="8"/>
    </row>
    <row r="25" spans="1:12" x14ac:dyDescent="0.2">
      <c r="A25" s="8">
        <v>1966</v>
      </c>
      <c r="B25" s="9">
        <v>114</v>
      </c>
      <c r="C25" s="9"/>
      <c r="D25" s="9"/>
      <c r="E25" s="9"/>
      <c r="F25" s="9"/>
      <c r="G25" s="9"/>
      <c r="H25" s="9"/>
      <c r="I25" s="9"/>
      <c r="J25" s="9"/>
      <c r="K25" s="9"/>
      <c r="L25" s="8"/>
    </row>
    <row r="26" spans="1:12" x14ac:dyDescent="0.2">
      <c r="A26" s="8">
        <v>1967</v>
      </c>
      <c r="B26" s="9">
        <v>133</v>
      </c>
      <c r="C26" s="9"/>
      <c r="D26" s="9"/>
      <c r="E26" s="9"/>
      <c r="F26" s="9"/>
      <c r="G26" s="9"/>
      <c r="H26" s="9"/>
      <c r="I26" s="9"/>
      <c r="J26" s="9"/>
      <c r="K26" s="9"/>
      <c r="L26" s="8"/>
    </row>
    <row r="27" spans="1:12" x14ac:dyDescent="0.2">
      <c r="A27" s="8">
        <v>1968</v>
      </c>
      <c r="B27" s="9">
        <v>157</v>
      </c>
      <c r="C27" s="9"/>
      <c r="D27" s="9"/>
      <c r="E27" s="9"/>
      <c r="F27" s="9"/>
      <c r="G27" s="9"/>
      <c r="H27" s="9"/>
      <c r="I27" s="9"/>
      <c r="J27" s="9"/>
      <c r="K27" s="9"/>
      <c r="L27" s="8"/>
    </row>
    <row r="28" spans="1:12" x14ac:dyDescent="0.2">
      <c r="A28" s="8">
        <v>1969</v>
      </c>
      <c r="B28" s="9">
        <v>173</v>
      </c>
      <c r="C28" s="9"/>
      <c r="D28" s="9"/>
      <c r="E28" s="9"/>
      <c r="F28" s="9"/>
      <c r="G28" s="9"/>
      <c r="H28" s="9"/>
      <c r="I28" s="9"/>
      <c r="J28" s="9"/>
      <c r="K28" s="9"/>
      <c r="L28" s="8"/>
    </row>
    <row r="29" spans="1:12" x14ac:dyDescent="0.2">
      <c r="A29" s="8">
        <v>1970</v>
      </c>
      <c r="B29" s="9">
        <v>209</v>
      </c>
      <c r="C29" s="9"/>
      <c r="D29" s="9"/>
      <c r="E29" s="9"/>
      <c r="F29" s="9"/>
      <c r="G29" s="9"/>
      <c r="H29" s="9"/>
      <c r="I29" s="9"/>
      <c r="J29" s="9"/>
      <c r="K29" s="9"/>
      <c r="L29" s="8"/>
    </row>
    <row r="30" spans="1:12" x14ac:dyDescent="0.2">
      <c r="A30" s="8">
        <v>1971</v>
      </c>
      <c r="B30" s="9">
        <v>259</v>
      </c>
      <c r="C30" s="9"/>
      <c r="D30" s="9"/>
      <c r="E30" s="9"/>
      <c r="F30" s="9"/>
      <c r="G30" s="9"/>
      <c r="H30" s="9"/>
      <c r="I30" s="9"/>
      <c r="J30" s="9"/>
      <c r="K30" s="9"/>
      <c r="L30" s="8"/>
    </row>
    <row r="31" spans="1:12" x14ac:dyDescent="0.2">
      <c r="A31" s="8">
        <v>1972</v>
      </c>
      <c r="B31" s="9">
        <v>295</v>
      </c>
      <c r="C31" s="9"/>
      <c r="D31" s="9"/>
      <c r="E31" s="9"/>
      <c r="F31" s="9"/>
      <c r="G31" s="9"/>
      <c r="H31" s="9"/>
      <c r="I31" s="9"/>
      <c r="J31" s="9"/>
      <c r="K31" s="9"/>
      <c r="L31" s="8"/>
    </row>
    <row r="32" spans="1:12" x14ac:dyDescent="0.2">
      <c r="A32" s="8">
        <v>1973</v>
      </c>
      <c r="B32" s="9">
        <v>317</v>
      </c>
      <c r="C32" s="9"/>
      <c r="D32" s="9"/>
      <c r="E32" s="9"/>
      <c r="F32" s="9"/>
      <c r="G32" s="9"/>
      <c r="H32" s="9"/>
      <c r="I32" s="9"/>
      <c r="J32" s="9"/>
      <c r="K32" s="9"/>
      <c r="L32" s="8"/>
    </row>
    <row r="33" spans="1:12" x14ac:dyDescent="0.2">
      <c r="A33" s="8">
        <v>1974</v>
      </c>
      <c r="B33" s="9">
        <v>347</v>
      </c>
      <c r="C33" s="9"/>
      <c r="D33" s="9"/>
      <c r="E33" s="9"/>
      <c r="F33" s="9"/>
      <c r="G33" s="9"/>
      <c r="H33" s="9"/>
      <c r="I33" s="9"/>
      <c r="J33" s="9"/>
      <c r="K33" s="9"/>
      <c r="L33" s="8"/>
    </row>
    <row r="34" spans="1:12" x14ac:dyDescent="0.2">
      <c r="A34" s="8">
        <v>1975</v>
      </c>
      <c r="B34" s="9">
        <v>342</v>
      </c>
      <c r="C34" s="9"/>
      <c r="D34" s="9"/>
      <c r="E34" s="9"/>
      <c r="F34" s="9"/>
      <c r="G34" s="9"/>
      <c r="H34" s="9"/>
      <c r="I34" s="9"/>
      <c r="J34" s="9"/>
      <c r="K34" s="9"/>
      <c r="L34" s="8"/>
    </row>
    <row r="35" spans="1:12" x14ac:dyDescent="0.2">
      <c r="A35" s="8">
        <v>1976</v>
      </c>
      <c r="B35" s="9">
        <v>376</v>
      </c>
      <c r="C35" s="9"/>
      <c r="D35" s="9"/>
      <c r="E35" s="9"/>
      <c r="F35" s="9"/>
      <c r="G35" s="9"/>
      <c r="H35" s="9"/>
      <c r="I35" s="9"/>
      <c r="J35" s="9"/>
      <c r="K35" s="9"/>
      <c r="L35" s="8"/>
    </row>
    <row r="36" spans="1:12" x14ac:dyDescent="0.2">
      <c r="A36" s="8">
        <v>1977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">
      <c r="A37" s="8">
        <v>1978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">
      <c r="A38" s="8">
        <v>1979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">
      <c r="A39" s="8">
        <v>1980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">
      <c r="A40" s="8">
        <v>1981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">
      <c r="A41" s="8">
        <v>1982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">
      <c r="A42" s="8">
        <v>1983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">
      <c r="A43" s="8">
        <v>1984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">
      <c r="A44" s="8">
        <v>1985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">
      <c r="A45" s="8">
        <v>1986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">
      <c r="A46" s="8">
        <v>1987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">
      <c r="A47" s="8">
        <v>1988</v>
      </c>
      <c r="B47" s="8"/>
      <c r="C47" s="8"/>
      <c r="D47" s="8"/>
      <c r="E47" s="8"/>
      <c r="F47" s="9"/>
      <c r="G47" s="9"/>
      <c r="H47" s="9"/>
      <c r="I47" s="9"/>
      <c r="J47" s="9"/>
      <c r="K47" s="9"/>
      <c r="L47" s="9"/>
    </row>
    <row r="48" spans="1:12" x14ac:dyDescent="0.2">
      <c r="A48" s="8">
        <v>1989</v>
      </c>
      <c r="B48" s="9">
        <v>869</v>
      </c>
      <c r="C48" s="10">
        <v>640</v>
      </c>
      <c r="D48" s="10">
        <v>229</v>
      </c>
      <c r="E48" s="11" t="s">
        <v>14</v>
      </c>
      <c r="F48" s="9"/>
      <c r="G48" s="9">
        <v>4.7</v>
      </c>
      <c r="H48" s="10">
        <v>7600</v>
      </c>
      <c r="I48" s="9"/>
      <c r="J48" s="9">
        <v>22.9</v>
      </c>
      <c r="K48" s="9"/>
      <c r="L48" s="10">
        <v>3350</v>
      </c>
    </row>
    <row r="49" spans="1:12" x14ac:dyDescent="0.2">
      <c r="A49" s="8">
        <v>1990</v>
      </c>
      <c r="B49" s="9">
        <v>921</v>
      </c>
      <c r="C49" s="10">
        <v>697</v>
      </c>
      <c r="D49" s="10">
        <v>224</v>
      </c>
      <c r="E49" s="11" t="s">
        <v>14</v>
      </c>
      <c r="F49" s="9"/>
      <c r="G49" s="9">
        <v>5.5</v>
      </c>
      <c r="H49" s="10">
        <v>8300</v>
      </c>
      <c r="I49" s="9">
        <v>110.6</v>
      </c>
      <c r="J49" s="9">
        <v>23</v>
      </c>
      <c r="K49" s="9"/>
      <c r="L49" s="10">
        <v>3544</v>
      </c>
    </row>
    <row r="50" spans="1:12" x14ac:dyDescent="0.2">
      <c r="A50" s="8">
        <v>1991</v>
      </c>
      <c r="B50" s="9">
        <v>969</v>
      </c>
      <c r="C50" s="10">
        <v>757</v>
      </c>
      <c r="D50" s="10">
        <v>212</v>
      </c>
      <c r="E50" s="11" t="s">
        <v>14</v>
      </c>
      <c r="F50" s="9"/>
      <c r="G50" s="9">
        <v>7.7</v>
      </c>
      <c r="H50" s="10">
        <v>9000</v>
      </c>
      <c r="I50" s="11">
        <v>107.3</v>
      </c>
      <c r="J50" s="9">
        <v>23.5</v>
      </c>
      <c r="K50" s="9"/>
      <c r="L50" s="10">
        <v>3808</v>
      </c>
    </row>
    <row r="51" spans="1:12" x14ac:dyDescent="0.2">
      <c r="A51" s="8">
        <v>1992</v>
      </c>
      <c r="B51" s="9">
        <v>1096</v>
      </c>
      <c r="C51" s="10">
        <v>861</v>
      </c>
      <c r="D51" s="10">
        <v>235</v>
      </c>
      <c r="E51" s="11" t="s">
        <v>14</v>
      </c>
      <c r="F51" s="9"/>
      <c r="G51" s="9">
        <v>9.6</v>
      </c>
      <c r="H51" s="10">
        <v>9700</v>
      </c>
      <c r="I51" s="9">
        <v>113.2</v>
      </c>
      <c r="J51" s="9">
        <v>25.1</v>
      </c>
      <c r="K51" s="9"/>
      <c r="L51" s="10">
        <v>4144</v>
      </c>
    </row>
    <row r="52" spans="1:12" x14ac:dyDescent="0.2">
      <c r="A52" s="8">
        <v>1993</v>
      </c>
      <c r="B52" s="9">
        <v>1173</v>
      </c>
      <c r="C52" s="10">
        <v>925</v>
      </c>
      <c r="D52" s="10">
        <v>249</v>
      </c>
      <c r="E52" s="11" t="s">
        <v>14</v>
      </c>
      <c r="F52" s="9"/>
      <c r="G52" s="9">
        <v>11.8</v>
      </c>
      <c r="H52" s="10">
        <v>10100</v>
      </c>
      <c r="I52" s="9">
        <v>115.7</v>
      </c>
      <c r="J52" s="9">
        <v>25.2</v>
      </c>
      <c r="K52" s="9"/>
      <c r="L52" s="10">
        <v>4386</v>
      </c>
    </row>
    <row r="53" spans="1:12" x14ac:dyDescent="0.2">
      <c r="A53" s="8">
        <v>1994</v>
      </c>
      <c r="B53" s="9">
        <v>1284</v>
      </c>
      <c r="C53" s="10">
        <v>1017</v>
      </c>
      <c r="D53" s="10">
        <v>267</v>
      </c>
      <c r="E53" s="11" t="s">
        <v>14</v>
      </c>
      <c r="F53" s="9"/>
      <c r="G53" s="9">
        <v>13.5</v>
      </c>
      <c r="H53" s="10">
        <v>10600</v>
      </c>
      <c r="I53" s="9">
        <v>121.5</v>
      </c>
      <c r="J53" s="9">
        <v>25.5</v>
      </c>
      <c r="K53" s="9"/>
      <c r="L53" s="10">
        <v>4717</v>
      </c>
    </row>
    <row r="54" spans="1:12" x14ac:dyDescent="0.2">
      <c r="A54" s="8">
        <v>1995</v>
      </c>
      <c r="B54" s="9">
        <v>1319</v>
      </c>
      <c r="C54" s="10">
        <v>965</v>
      </c>
      <c r="D54" s="10">
        <v>355</v>
      </c>
      <c r="E54" s="11" t="s">
        <v>14</v>
      </c>
      <c r="F54" s="9"/>
      <c r="G54" s="9">
        <v>17.100000000000001</v>
      </c>
      <c r="H54" s="10">
        <v>10900</v>
      </c>
      <c r="I54" s="9">
        <v>121.1</v>
      </c>
      <c r="J54" s="9">
        <v>25.5</v>
      </c>
      <c r="K54" s="9"/>
      <c r="L54" s="10">
        <v>4841</v>
      </c>
    </row>
    <row r="55" spans="1:12" x14ac:dyDescent="0.2">
      <c r="A55" s="8">
        <v>1996</v>
      </c>
      <c r="B55" s="9">
        <v>1283</v>
      </c>
      <c r="C55" s="10">
        <v>932</v>
      </c>
      <c r="D55" s="10">
        <v>350</v>
      </c>
      <c r="E55" s="11" t="s">
        <v>14</v>
      </c>
      <c r="F55" s="9"/>
      <c r="G55" s="9">
        <v>19.399999999999999</v>
      </c>
      <c r="H55" s="10">
        <v>11200</v>
      </c>
      <c r="I55" s="9">
        <v>114.8</v>
      </c>
      <c r="J55" s="9">
        <v>24.2</v>
      </c>
      <c r="K55" s="9"/>
      <c r="L55" s="10">
        <v>4895</v>
      </c>
    </row>
    <row r="56" spans="1:12" x14ac:dyDescent="0.2">
      <c r="A56" s="8">
        <v>1997</v>
      </c>
      <c r="B56" s="9">
        <v>1346</v>
      </c>
      <c r="C56" s="10">
        <v>976</v>
      </c>
      <c r="D56" s="10">
        <v>370</v>
      </c>
      <c r="E56" s="11" t="s">
        <v>14</v>
      </c>
      <c r="F56" s="9"/>
      <c r="G56" s="9">
        <v>19.399999999999999</v>
      </c>
      <c r="H56" s="10">
        <v>11200</v>
      </c>
      <c r="I56" s="9">
        <v>120.4</v>
      </c>
      <c r="J56" s="9">
        <v>24.1</v>
      </c>
      <c r="K56" s="9"/>
      <c r="L56" s="10">
        <v>5589</v>
      </c>
    </row>
    <row r="57" spans="1:12" x14ac:dyDescent="0.2">
      <c r="A57" s="8">
        <v>1998</v>
      </c>
      <c r="B57" s="9">
        <v>1473</v>
      </c>
      <c r="C57" s="10">
        <v>1030</v>
      </c>
      <c r="D57" s="10">
        <v>442</v>
      </c>
      <c r="E57" s="11" t="s">
        <v>14</v>
      </c>
      <c r="F57" s="9"/>
      <c r="G57" s="9">
        <v>19.899999999999999</v>
      </c>
      <c r="H57" s="10">
        <v>11200</v>
      </c>
      <c r="I57" s="9">
        <v>131.30000000000001</v>
      </c>
      <c r="J57" s="9">
        <v>24.2</v>
      </c>
      <c r="K57" s="9"/>
      <c r="L57" s="10">
        <v>5788</v>
      </c>
    </row>
    <row r="58" spans="1:12" x14ac:dyDescent="0.2">
      <c r="A58" s="8">
        <v>1999</v>
      </c>
      <c r="B58" s="9">
        <f>1589875/1000</f>
        <v>1589.875</v>
      </c>
      <c r="C58" s="10">
        <v>1113</v>
      </c>
      <c r="D58" s="10">
        <v>293</v>
      </c>
      <c r="E58" s="10">
        <v>182</v>
      </c>
      <c r="F58" s="12">
        <f>32109697/1000</f>
        <v>32109.697</v>
      </c>
      <c r="G58" s="9">
        <v>20.2</v>
      </c>
      <c r="H58" s="10">
        <v>11278</v>
      </c>
      <c r="I58" s="9">
        <v>140.4</v>
      </c>
      <c r="J58" s="9">
        <v>29.2</v>
      </c>
      <c r="K58" s="9">
        <f>5436135/1000</f>
        <v>5436.1350000000002</v>
      </c>
      <c r="L58" s="10">
        <v>6198</v>
      </c>
    </row>
    <row r="59" spans="1:12" x14ac:dyDescent="0.2">
      <c r="A59" s="8">
        <v>2000</v>
      </c>
      <c r="B59" s="9">
        <f>1525940/1000</f>
        <v>1525.94</v>
      </c>
      <c r="C59" s="10">
        <v>1171</v>
      </c>
      <c r="D59" s="10">
        <v>265</v>
      </c>
      <c r="E59" s="10">
        <v>231</v>
      </c>
      <c r="F59" s="12">
        <f>34957998/1000</f>
        <v>34957.998</v>
      </c>
      <c r="G59" s="9">
        <v>22.91</v>
      </c>
      <c r="H59" s="10">
        <v>11415</v>
      </c>
      <c r="I59" s="9">
        <v>145.9</v>
      </c>
      <c r="J59" s="9">
        <v>29</v>
      </c>
      <c r="K59" s="9">
        <f>5257475/1000</f>
        <v>5257.4750000000004</v>
      </c>
      <c r="L59" s="10">
        <v>6933</v>
      </c>
    </row>
    <row r="60" spans="1:12" x14ac:dyDescent="0.2">
      <c r="A60" s="8">
        <v>2001</v>
      </c>
      <c r="B60" s="9">
        <f>1746268/1000</f>
        <v>1746.268</v>
      </c>
      <c r="C60" s="10">
        <v>1142</v>
      </c>
      <c r="D60" s="10">
        <v>358</v>
      </c>
      <c r="E60" s="10">
        <v>248</v>
      </c>
      <c r="F60" s="12">
        <f>43847624/1000</f>
        <v>43847.624000000003</v>
      </c>
      <c r="G60" s="9">
        <v>25.11</v>
      </c>
      <c r="H60" s="10">
        <v>11467</v>
      </c>
      <c r="I60" s="9">
        <v>152.30000000000001</v>
      </c>
      <c r="J60" s="9">
        <v>28.9</v>
      </c>
      <c r="K60" s="9">
        <f>6044071/1000</f>
        <v>6044.0709999999999</v>
      </c>
      <c r="L60" s="10">
        <v>6940</v>
      </c>
    </row>
    <row r="61" spans="1:12" x14ac:dyDescent="0.2">
      <c r="A61" s="8">
        <v>2002</v>
      </c>
      <c r="B61" s="9">
        <f>1861980/1000</f>
        <v>1861.98</v>
      </c>
      <c r="C61" s="10">
        <v>1219</v>
      </c>
      <c r="D61" s="10">
        <v>371</v>
      </c>
      <c r="E61" s="10">
        <v>270</v>
      </c>
      <c r="F61" s="12">
        <f>48080264/1000</f>
        <v>48080.264000000003</v>
      </c>
      <c r="G61" s="9">
        <v>25.82</v>
      </c>
      <c r="H61" s="10">
        <v>11368</v>
      </c>
      <c r="I61" s="9">
        <v>163.9</v>
      </c>
      <c r="J61" s="9">
        <v>29.3</v>
      </c>
      <c r="K61" s="9">
        <f>6361235/1000</f>
        <v>6361.2349999999997</v>
      </c>
      <c r="L61" s="10">
        <v>7485</v>
      </c>
    </row>
    <row r="62" spans="1:12" x14ac:dyDescent="0.2">
      <c r="A62" s="8">
        <v>2003</v>
      </c>
      <c r="B62" s="9">
        <f>1912589/1000</f>
        <v>1912.5889999999999</v>
      </c>
      <c r="C62" s="10">
        <v>1247</v>
      </c>
      <c r="D62" s="10">
        <v>384</v>
      </c>
      <c r="E62" s="10">
        <v>278</v>
      </c>
      <c r="F62" s="12">
        <f>50872340/1000</f>
        <v>50872.34</v>
      </c>
      <c r="G62" s="9">
        <v>26.6</v>
      </c>
      <c r="H62" s="10">
        <v>10867</v>
      </c>
      <c r="I62" s="9">
        <v>176</v>
      </c>
      <c r="J62" s="9">
        <v>28.5</v>
      </c>
      <c r="K62" s="9">
        <f>6715523/1000</f>
        <v>6715.5230000000001</v>
      </c>
      <c r="L62" s="10">
        <v>7565</v>
      </c>
    </row>
    <row r="63" spans="1:12" x14ac:dyDescent="0.2">
      <c r="A63" s="8">
        <v>2004</v>
      </c>
      <c r="B63" s="9">
        <f>1950631/1000</f>
        <v>1950.6310000000001</v>
      </c>
      <c r="C63" s="10">
        <v>1274</v>
      </c>
      <c r="D63" s="10">
        <v>402</v>
      </c>
      <c r="E63" s="10">
        <v>275</v>
      </c>
      <c r="F63" s="12">
        <f>59270901/1000</f>
        <v>59270.900999999998</v>
      </c>
      <c r="G63" s="9">
        <v>30.39</v>
      </c>
      <c r="H63" s="10">
        <v>10592</v>
      </c>
      <c r="I63" s="9">
        <v>184.2</v>
      </c>
      <c r="J63" s="9">
        <v>27.8</v>
      </c>
      <c r="K63" s="9">
        <f>7009534/1000</f>
        <v>7009.5339999999997</v>
      </c>
      <c r="L63" s="10">
        <v>8062</v>
      </c>
    </row>
    <row r="64" spans="1:12" x14ac:dyDescent="0.2">
      <c r="A64" s="8">
        <v>2005</v>
      </c>
      <c r="B64" s="9">
        <f>2046615/1000</f>
        <v>2046.615</v>
      </c>
      <c r="C64" s="10">
        <v>1282</v>
      </c>
      <c r="D64" s="10">
        <v>469</v>
      </c>
      <c r="E64" s="10">
        <v>299</v>
      </c>
      <c r="F64" s="12">
        <f>70335537/1000</f>
        <v>70335.536999999997</v>
      </c>
      <c r="G64" s="9">
        <v>34.369999999999997</v>
      </c>
      <c r="H64" s="10">
        <v>10553</v>
      </c>
      <c r="I64" s="9">
        <v>194.2</v>
      </c>
      <c r="J64" s="9">
        <v>27.8</v>
      </c>
      <c r="K64" s="9">
        <f>7363359/1000</f>
        <v>7363.3590000000004</v>
      </c>
      <c r="L64" s="10">
        <v>8212</v>
      </c>
    </row>
    <row r="65" spans="1:12" x14ac:dyDescent="0.2">
      <c r="A65" s="8">
        <v>2006</v>
      </c>
      <c r="B65" s="9">
        <f>2204255/1000</f>
        <v>2204.2550000000001</v>
      </c>
      <c r="C65" s="10">
        <v>1394</v>
      </c>
      <c r="D65" s="10">
        <v>488</v>
      </c>
      <c r="E65" s="10">
        <v>324</v>
      </c>
      <c r="F65" s="12">
        <f>84368107/1000</f>
        <v>84368.107000000004</v>
      </c>
      <c r="G65" s="9">
        <v>38.28</v>
      </c>
      <c r="H65" s="10">
        <v>10597</v>
      </c>
      <c r="I65" s="9">
        <v>208.1</v>
      </c>
      <c r="J65" s="9">
        <v>28.2</v>
      </c>
      <c r="K65" s="9">
        <f>7819957/1000</f>
        <v>7819.9570000000003</v>
      </c>
      <c r="L65" s="10">
        <v>8641</v>
      </c>
    </row>
    <row r="66" spans="1:12" x14ac:dyDescent="0.2">
      <c r="A66" s="8">
        <v>2007</v>
      </c>
      <c r="B66" s="9">
        <f>2250033/1000</f>
        <v>2250.0329999999999</v>
      </c>
      <c r="C66" s="10">
        <v>1440</v>
      </c>
      <c r="D66" s="10">
        <v>489</v>
      </c>
      <c r="E66" s="10">
        <v>320</v>
      </c>
      <c r="F66" s="12">
        <f>+91726236/1000</f>
        <v>91726.236000000004</v>
      </c>
      <c r="G66" s="9">
        <v>40.770000000000003</v>
      </c>
      <c r="H66" s="10">
        <v>9925</v>
      </c>
      <c r="I66" s="9">
        <v>226.7</v>
      </c>
      <c r="J66" s="9">
        <v>27.5</v>
      </c>
      <c r="K66" s="9">
        <f>8175583/1000</f>
        <v>8175.5829999999996</v>
      </c>
      <c r="L66" s="10">
        <v>8987</v>
      </c>
    </row>
    <row r="67" spans="1:12" x14ac:dyDescent="0.2">
      <c r="A67" s="8">
        <v>2008</v>
      </c>
      <c r="B67" s="9">
        <f>2206671/1000</f>
        <v>2206.6709999999998</v>
      </c>
      <c r="C67" s="10">
        <v>1313</v>
      </c>
      <c r="D67" s="10">
        <v>585</v>
      </c>
      <c r="E67" s="10">
        <v>309</v>
      </c>
      <c r="F67" s="12">
        <f>108847131/1000</f>
        <v>108847.13099999999</v>
      </c>
      <c r="G67" s="9">
        <v>49.33</v>
      </c>
      <c r="H67" s="10">
        <v>9771</v>
      </c>
      <c r="I67" s="9">
        <v>228.83</v>
      </c>
      <c r="J67" s="9">
        <v>26.4</v>
      </c>
      <c r="K67" s="9">
        <f>8359544/1000</f>
        <v>8359.5439999999999</v>
      </c>
      <c r="L67" s="10">
        <v>9392</v>
      </c>
    </row>
    <row r="68" spans="1:12" x14ac:dyDescent="0.2">
      <c r="A68" s="8">
        <v>2009</v>
      </c>
      <c r="B68" s="9">
        <f>2031275/1000</f>
        <v>2031.2750000000001</v>
      </c>
      <c r="C68" s="10"/>
      <c r="D68" s="10"/>
      <c r="E68" s="10"/>
      <c r="F68" s="12">
        <f>136345777/1000</f>
        <v>136345.777</v>
      </c>
      <c r="G68" s="9">
        <v>67.12</v>
      </c>
      <c r="H68" s="10">
        <v>9484</v>
      </c>
      <c r="I68" s="9">
        <v>214.18</v>
      </c>
      <c r="J68" s="9">
        <v>24.6</v>
      </c>
      <c r="K68" s="9">
        <f>8248616/1000</f>
        <v>8248.616</v>
      </c>
      <c r="L68" s="10"/>
    </row>
    <row r="69" spans="1:12" x14ac:dyDescent="0.2">
      <c r="A69" s="8">
        <v>2010</v>
      </c>
      <c r="B69" s="9">
        <f>2088242/1000</f>
        <v>2088.2420000000002</v>
      </c>
      <c r="C69" s="10"/>
      <c r="D69" s="10"/>
      <c r="E69" s="10"/>
      <c r="F69" s="12">
        <f>143470057/1000</f>
        <v>143470.057</v>
      </c>
      <c r="G69" s="13">
        <v>68.7</v>
      </c>
      <c r="H69" s="10">
        <v>9129</v>
      </c>
      <c r="I69" s="9">
        <v>228.75</v>
      </c>
      <c r="J69" s="9">
        <v>24.6</v>
      </c>
      <c r="K69" s="9">
        <f>8495280/1000</f>
        <v>8495.2800000000007</v>
      </c>
      <c r="L69" s="10"/>
    </row>
    <row r="70" spans="1:12" x14ac:dyDescent="0.2">
      <c r="A70" s="8">
        <v>2011</v>
      </c>
      <c r="B70" s="9">
        <f>2090387/1000</f>
        <v>2090.3870000000002</v>
      </c>
      <c r="C70" s="10"/>
      <c r="D70" s="10"/>
      <c r="E70" s="10"/>
      <c r="F70" s="12">
        <f>150724976/1000</f>
        <v>150724.976</v>
      </c>
      <c r="G70" s="9">
        <v>72.099999999999994</v>
      </c>
      <c r="H70" s="10">
        <v>8937</v>
      </c>
      <c r="I70" s="9">
        <v>233.9</v>
      </c>
      <c r="J70" s="9">
        <v>24.3</v>
      </c>
      <c r="K70" s="9">
        <f>8606167/1000</f>
        <v>8606.1669999999995</v>
      </c>
      <c r="L70" s="10"/>
    </row>
    <row r="71" spans="1:12" x14ac:dyDescent="0.2">
      <c r="A71" s="8">
        <v>2012</v>
      </c>
      <c r="B71" s="9">
        <f>2144534/1000</f>
        <v>2144.5340000000001</v>
      </c>
      <c r="C71" s="10"/>
      <c r="D71" s="10"/>
      <c r="E71" s="10"/>
      <c r="F71" s="12">
        <f>147392030/1000</f>
        <v>147392.03</v>
      </c>
      <c r="G71" s="9">
        <v>68.73</v>
      </c>
      <c r="H71" s="10">
        <v>8754</v>
      </c>
      <c r="I71" s="9">
        <v>244.98</v>
      </c>
      <c r="J71" s="9">
        <v>24</v>
      </c>
      <c r="K71" s="9">
        <f>8922156/1000</f>
        <v>8922.1560000000009</v>
      </c>
      <c r="L71" s="10"/>
    </row>
    <row r="72" spans="1:12" x14ac:dyDescent="0.2">
      <c r="A72" s="8">
        <v>2013</v>
      </c>
      <c r="B72" s="9">
        <f>2134345/1000</f>
        <v>2134.3449999999998</v>
      </c>
      <c r="C72" s="10"/>
      <c r="D72" s="10"/>
      <c r="E72" s="10"/>
      <c r="F72" s="12">
        <f>173546682/1000</f>
        <v>173546.682</v>
      </c>
      <c r="G72" s="9">
        <v>81.31</v>
      </c>
      <c r="H72" s="10">
        <v>8744</v>
      </c>
      <c r="I72" s="9">
        <v>244.09</v>
      </c>
      <c r="J72" s="9">
        <v>23.72</v>
      </c>
      <c r="K72" s="9">
        <f>8998865/1000</f>
        <v>8998.8649999999998</v>
      </c>
      <c r="L72" s="10"/>
    </row>
    <row r="73" spans="1:12" x14ac:dyDescent="0.2">
      <c r="A73" s="8">
        <v>2014</v>
      </c>
      <c r="B73" s="9">
        <f>2107519/1000</f>
        <v>2107.5189999999998</v>
      </c>
      <c r="C73" s="10"/>
      <c r="D73" s="10"/>
      <c r="E73" s="10"/>
      <c r="F73" s="12">
        <f>171393978/1000</f>
        <v>171393.978</v>
      </c>
      <c r="G73" s="9">
        <v>81.3</v>
      </c>
      <c r="H73" s="10">
        <v>8437</v>
      </c>
      <c r="I73" s="9">
        <v>249.79</v>
      </c>
      <c r="J73" s="9">
        <v>23.14</v>
      </c>
      <c r="K73" s="9">
        <f>9108740/1000</f>
        <v>9108.74</v>
      </c>
      <c r="L73" s="10"/>
    </row>
    <row r="74" spans="1:12" x14ac:dyDescent="0.2">
      <c r="A74" s="8">
        <v>2015</v>
      </c>
      <c r="B74" s="9">
        <f>2060979/1000</f>
        <v>2060.9789999999998</v>
      </c>
      <c r="C74" s="10"/>
      <c r="D74" s="10"/>
      <c r="E74" s="10"/>
      <c r="F74" s="12">
        <f>161422057/1000</f>
        <v>161422.057</v>
      </c>
      <c r="G74" s="9">
        <v>78.3</v>
      </c>
      <c r="H74" s="10">
        <v>8440</v>
      </c>
      <c r="I74" s="9">
        <v>244.2</v>
      </c>
      <c r="J74" s="9">
        <v>22.1</v>
      </c>
      <c r="K74" s="9">
        <f>9343677/1000</f>
        <v>9343.6769999999997</v>
      </c>
      <c r="L74" s="10"/>
    </row>
    <row r="75" spans="1:12" x14ac:dyDescent="0.2">
      <c r="A75" s="8">
        <v>2016</v>
      </c>
      <c r="B75" s="9">
        <f>2291102/1000</f>
        <v>2291.1019999999999</v>
      </c>
      <c r="C75" s="10"/>
      <c r="D75" s="10"/>
      <c r="E75" s="10"/>
      <c r="F75" s="12">
        <f>172910542/1000</f>
        <v>172910.54199999999</v>
      </c>
      <c r="G75" s="9">
        <v>75.5</v>
      </c>
      <c r="H75" s="10">
        <v>8884</v>
      </c>
      <c r="I75" s="9">
        <v>257.89</v>
      </c>
      <c r="J75" s="9">
        <v>23.62</v>
      </c>
      <c r="K75" s="9">
        <f>9698365/1000</f>
        <v>9698.3649999999998</v>
      </c>
      <c r="L75" s="10"/>
    </row>
    <row r="76" spans="1:12" x14ac:dyDescent="0.2">
      <c r="A76" s="8">
        <v>2017</v>
      </c>
      <c r="B76" s="9">
        <f>2308641/1000</f>
        <v>2308.6410000000001</v>
      </c>
      <c r="C76" s="10"/>
      <c r="D76" s="10"/>
      <c r="E76" s="10"/>
      <c r="F76" s="12">
        <f>172491874/1000</f>
        <v>172491.87400000001</v>
      </c>
      <c r="G76" s="9">
        <v>74.7</v>
      </c>
      <c r="H76" s="10">
        <v>9677</v>
      </c>
      <c r="I76" s="9">
        <v>238.57</v>
      </c>
      <c r="J76" s="9">
        <v>23.55</v>
      </c>
      <c r="K76" s="9">
        <f>9803652/1000</f>
        <v>9803.652</v>
      </c>
      <c r="L76" s="10"/>
    </row>
    <row r="77" spans="1:12" x14ac:dyDescent="0.2">
      <c r="A77" s="8">
        <v>2018</v>
      </c>
      <c r="B77" s="9">
        <f>2818291/1000</f>
        <v>2818.2910000000002</v>
      </c>
      <c r="C77" s="10"/>
      <c r="D77" s="10"/>
      <c r="E77" s="10"/>
      <c r="F77" s="12">
        <f>222548531/1000</f>
        <v>222548.53099999999</v>
      </c>
      <c r="G77" s="9">
        <v>79</v>
      </c>
      <c r="H77" s="10">
        <v>9838</v>
      </c>
      <c r="I77" s="9">
        <v>286.47000000000003</v>
      </c>
      <c r="J77" s="9">
        <v>28.45</v>
      </c>
      <c r="K77" s="9">
        <f>9905096/1000</f>
        <v>9905.0959999999995</v>
      </c>
      <c r="L77" s="10"/>
    </row>
    <row r="78" spans="1:12" x14ac:dyDescent="0.2">
      <c r="A78" s="14" t="s">
        <v>15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x14ac:dyDescent="0.2">
      <c r="A79" s="16" t="s">
        <v>16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1:12" x14ac:dyDescent="0.2">
      <c r="A80" s="16" t="s">
        <v>17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1:12" x14ac:dyDescent="0.2">
      <c r="A81" s="18" t="s">
        <v>18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</row>
    <row r="82" spans="1:12" x14ac:dyDescent="0.2">
      <c r="A82" s="16" t="s">
        <v>19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x14ac:dyDescent="0.2">
      <c r="A83" s="16" t="s">
        <v>20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x14ac:dyDescent="0.2">
      <c r="A84" s="16" t="s">
        <v>21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x14ac:dyDescent="0.2">
      <c r="A85" s="16" t="s">
        <v>22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x14ac:dyDescent="0.2">
      <c r="A86" s="16" t="s">
        <v>23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x14ac:dyDescent="0.2">
      <c r="A87" s="16" t="s">
        <v>24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x14ac:dyDescent="0.2">
      <c r="A88" s="16" t="s">
        <v>25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x14ac:dyDescent="0.2">
      <c r="A89" s="16" t="s">
        <v>26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">
      <c r="A90" s="16" t="s">
        <v>27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">
      <c r="A91" s="16" t="s">
        <v>28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ht="26.25" customHeight="1" x14ac:dyDescent="0.2">
      <c r="A92" s="16" t="s">
        <v>29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</sheetData>
  <mergeCells count="17">
    <mergeCell ref="A88:L88"/>
    <mergeCell ref="A89:L89"/>
    <mergeCell ref="A90:L90"/>
    <mergeCell ref="A91:L91"/>
    <mergeCell ref="A92:L92"/>
    <mergeCell ref="A82:L82"/>
    <mergeCell ref="A83:L83"/>
    <mergeCell ref="A84:L84"/>
    <mergeCell ref="A85:L85"/>
    <mergeCell ref="A86:L86"/>
    <mergeCell ref="A87:L87"/>
    <mergeCell ref="A1:L1"/>
    <mergeCell ref="A2:L2"/>
    <mergeCell ref="A78:L78"/>
    <mergeCell ref="A79:L79"/>
    <mergeCell ref="A80:L80"/>
    <mergeCell ref="A81:L8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5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1213</vt:lpstr>
    </vt:vector>
  </TitlesOfParts>
  <Company>Universidad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UCR</cp:lastModifiedBy>
  <cp:lastPrinted>2020-02-13T21:18:31Z</cp:lastPrinted>
  <dcterms:created xsi:type="dcterms:W3CDTF">2020-02-13T21:16:35Z</dcterms:created>
  <dcterms:modified xsi:type="dcterms:W3CDTF">2020-02-13T21:18:35Z</dcterms:modified>
</cp:coreProperties>
</file>